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4390" windowHeight="1843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G24" i="1" l="1"/>
  <c r="G25" i="1"/>
  <c r="G29" i="1"/>
  <c r="G30" i="1"/>
  <c r="G31" i="1"/>
  <c r="G35" i="1"/>
  <c r="G36" i="1"/>
  <c r="G40" i="1"/>
  <c r="G41" i="1"/>
  <c r="G42" i="1"/>
  <c r="G43" i="1"/>
  <c r="G44" i="1"/>
  <c r="G58" i="1"/>
  <c r="G59" i="1"/>
  <c r="G63" i="1"/>
  <c r="G67" i="1"/>
  <c r="G66" i="1"/>
  <c r="G62" i="1"/>
  <c r="G57" i="1"/>
  <c r="G39" i="1"/>
  <c r="G34" i="1"/>
  <c r="G28" i="1"/>
  <c r="G23" i="1"/>
  <c r="H46" i="1"/>
  <c r="H47" i="1"/>
  <c r="H48" i="1"/>
  <c r="H49" i="1"/>
  <c r="H50" i="1"/>
  <c r="H51" i="1"/>
  <c r="H53" i="1"/>
  <c r="H64" i="1"/>
  <c r="H60" i="1"/>
  <c r="H45" i="1"/>
  <c r="H37" i="1"/>
  <c r="H32" i="1"/>
  <c r="H26" i="1"/>
  <c r="E29" i="1"/>
  <c r="E30" i="1"/>
  <c r="E31" i="1"/>
  <c r="E35" i="1"/>
  <c r="E36" i="1"/>
  <c r="E40" i="1"/>
  <c r="E41" i="1"/>
  <c r="E42" i="1"/>
  <c r="E43" i="1"/>
  <c r="E44" i="1"/>
  <c r="E59" i="1"/>
  <c r="E58" i="1"/>
  <c r="E63" i="1"/>
  <c r="E67" i="1"/>
  <c r="E66" i="1"/>
  <c r="E62" i="1"/>
  <c r="E57" i="1"/>
  <c r="E39" i="1"/>
  <c r="E34" i="1"/>
  <c r="E28" i="1"/>
  <c r="E24" i="1"/>
  <c r="E25" i="1"/>
  <c r="E23" i="1"/>
  <c r="F68" i="1"/>
  <c r="F64" i="1"/>
  <c r="F60" i="1"/>
  <c r="F46" i="1"/>
  <c r="F47" i="1"/>
  <c r="F48" i="1"/>
  <c r="F49" i="1"/>
  <c r="F50" i="1"/>
  <c r="F51" i="1"/>
  <c r="F53" i="1"/>
  <c r="F45" i="1"/>
  <c r="F37" i="1"/>
  <c r="F32" i="1"/>
  <c r="F26" i="1"/>
  <c r="D68" i="1"/>
  <c r="C67" i="1"/>
  <c r="C66" i="1"/>
  <c r="D64" i="1"/>
  <c r="C63" i="1"/>
  <c r="C62" i="1"/>
  <c r="D60" i="1"/>
  <c r="C59" i="1"/>
  <c r="C58" i="1"/>
  <c r="C57" i="1"/>
  <c r="D54" i="1"/>
  <c r="F54" i="1" s="1"/>
  <c r="D53" i="1"/>
  <c r="D51" i="1"/>
  <c r="D50" i="1"/>
  <c r="D49" i="1"/>
  <c r="D48" i="1"/>
  <c r="D47" i="1"/>
  <c r="D46" i="1"/>
  <c r="C43" i="1"/>
  <c r="D45" i="1" s="1"/>
  <c r="C44" i="1"/>
  <c r="C42" i="1"/>
  <c r="C41" i="1"/>
  <c r="C40" i="1"/>
  <c r="C39" i="1"/>
  <c r="D37" i="1"/>
  <c r="C36" i="1"/>
  <c r="C35" i="1"/>
  <c r="C34" i="1"/>
  <c r="D32" i="1"/>
  <c r="C31" i="1"/>
  <c r="C30" i="1"/>
  <c r="C29" i="1"/>
  <c r="C28" i="1"/>
  <c r="D26" i="1"/>
  <c r="C25" i="1"/>
  <c r="C24" i="1"/>
  <c r="C23" i="1"/>
  <c r="F20" i="1"/>
  <c r="F12" i="1"/>
  <c r="H5" i="1"/>
  <c r="H12" i="1"/>
  <c r="H20" i="1"/>
  <c r="F5" i="1"/>
  <c r="D20" i="1"/>
  <c r="D12" i="1"/>
  <c r="D5" i="1"/>
  <c r="C19" i="1"/>
  <c r="C18" i="1"/>
  <c r="C17" i="1"/>
  <c r="C16" i="1"/>
  <c r="C15" i="1"/>
  <c r="C14" i="1"/>
  <c r="C11" i="1"/>
  <c r="C10" i="1"/>
  <c r="C9" i="1"/>
  <c r="C8" i="1"/>
  <c r="C7" i="1"/>
  <c r="C4" i="1"/>
  <c r="C3" i="1"/>
  <c r="H54" i="1" l="1"/>
  <c r="D69" i="1"/>
  <c r="G4" i="1"/>
  <c r="G7" i="1"/>
  <c r="G8" i="1"/>
  <c r="G9" i="1"/>
  <c r="G10" i="1"/>
  <c r="G11" i="1"/>
  <c r="G14" i="1"/>
  <c r="G15" i="1"/>
  <c r="G16" i="1"/>
  <c r="G17" i="1"/>
  <c r="G18" i="1"/>
  <c r="G19" i="1"/>
  <c r="G3" i="1"/>
  <c r="E4" i="1"/>
  <c r="E7" i="1"/>
  <c r="E8" i="1"/>
  <c r="E9" i="1"/>
  <c r="E10" i="1"/>
  <c r="E11" i="1"/>
  <c r="E14" i="1"/>
  <c r="E15" i="1"/>
  <c r="E16" i="1"/>
  <c r="E17" i="1"/>
  <c r="E18" i="1"/>
  <c r="E19" i="1"/>
  <c r="E3" i="1"/>
  <c r="J4" i="1"/>
  <c r="J3" i="1"/>
  <c r="F69" i="1" l="1"/>
  <c r="H69" i="1"/>
</calcChain>
</file>

<file path=xl/sharedStrings.xml><?xml version="1.0" encoding="utf-8"?>
<sst xmlns="http://schemas.openxmlformats.org/spreadsheetml/2006/main" count="65" uniqueCount="59">
  <si>
    <t>A. Ten masonry piers</t>
  </si>
  <si>
    <t>I. Foundations and lower masonry</t>
  </si>
  <si>
    <t>II. Upper masonry, including parapet</t>
  </si>
  <si>
    <t>B. Boston abutment</t>
  </si>
  <si>
    <t>III. Strut walls and filling</t>
  </si>
  <si>
    <t>IV. Extending sewer</t>
  </si>
  <si>
    <t>V. Miscellaneous</t>
  </si>
  <si>
    <t>C. Cambridge abutment</t>
  </si>
  <si>
    <t>IV. Rebuilding embankment wall</t>
  </si>
  <si>
    <t>Expense taking Ginty property</t>
  </si>
  <si>
    <t>SECTION</t>
  </si>
  <si>
    <t>EXPENSE DESCRIPTION</t>
  </si>
  <si>
    <t>1906 COST (USD)</t>
  </si>
  <si>
    <t>Historical Currency Conversions</t>
  </si>
  <si>
    <t>1 USD - 1906 = 26.08 USD - 2013</t>
  </si>
  <si>
    <t>http://futureboy.us/fsp/dollar.fsp?quantity=1&amp;currency=dollars&amp;fromYear=1906</t>
  </si>
  <si>
    <t>http://www.measuringworth.com/uscompare/</t>
  </si>
  <si>
    <t>1 USD - 1906 = 26.30 USD - 2013</t>
  </si>
  <si>
    <t>2013 COST (USD)</t>
  </si>
  <si>
    <t>D. Steel superstructure</t>
  </si>
  <si>
    <t>I. Eleven steel spans (including shoes and painting, but not iron fascia)</t>
  </si>
  <si>
    <t>II. Steelwork for floor over piers</t>
  </si>
  <si>
    <t>III. Steelwork for floors over abutments</t>
  </si>
  <si>
    <t>E. Roadways, sidewalks, railings and lamps</t>
  </si>
  <si>
    <t>I. Roadways, including curbs and concrete base of paving</t>
  </si>
  <si>
    <t>II. Sidewalks (granolithic and concrete base)</t>
  </si>
  <si>
    <t>III. Railings, fascia, stairs and ladders</t>
  </si>
  <si>
    <t>IV. Lamps, including piping and wiring</t>
  </si>
  <si>
    <t>F. Ornamental towers and carvings</t>
  </si>
  <si>
    <t>I. Four towers on abutments</t>
  </si>
  <si>
    <t>II. Carved ornaments on Piers 5 and 6</t>
  </si>
  <si>
    <t>III. Four towers on Piers 5 and 6</t>
  </si>
  <si>
    <t>G. Engineering (not including that for temporary bridge)</t>
  </si>
  <si>
    <t>Rent of field office</t>
  </si>
  <si>
    <t>Field office telephone</t>
  </si>
  <si>
    <t>Borings</t>
  </si>
  <si>
    <t>Cement analysis</t>
  </si>
  <si>
    <t>Salaries and pay rolls, etc.</t>
  </si>
  <si>
    <t>Other expenses</t>
  </si>
  <si>
    <t>H. Inspection (not including that for temporary bridge)</t>
  </si>
  <si>
    <t>I. Architectural work, including model making</t>
  </si>
  <si>
    <t>J. Printing and stationery</t>
  </si>
  <si>
    <t>K. Advertising (not including that of temporary bridge)</t>
  </si>
  <si>
    <t>L. Administration</t>
  </si>
  <si>
    <t>Total for new bridge, without maintenance</t>
  </si>
  <si>
    <t>M. Maintenance of new bridge to end of 1907</t>
  </si>
  <si>
    <t>Total paid for new bridge, including maintenance</t>
  </si>
  <si>
    <t>N. Temporary bridge</t>
  </si>
  <si>
    <t>I. Construction (including engineering and inspection</t>
  </si>
  <si>
    <t>II. Maintenance</t>
  </si>
  <si>
    <t>III. Reamoval</t>
  </si>
  <si>
    <t>O. Channel dredging</t>
  </si>
  <si>
    <t>I. Dredging near east draw of temporary bridge</t>
  </si>
  <si>
    <t>II. Dredging new channel for vessels</t>
  </si>
  <si>
    <t>P. Miscellaneous payments</t>
  </si>
  <si>
    <t>I. Paid jointly by Boston and Cambridge toward cost of Boston approach</t>
  </si>
  <si>
    <t>II. Paid jointly by Boston and Cambridge toward cost of Cambridge approach</t>
  </si>
  <si>
    <t>Total paid by Boston and Cambridge jointly</t>
  </si>
  <si>
    <t>NOTE: The above statement does not include payments made by the City of Boston for the Boston approach or for land takings in Boston, nor payments made by the City of Cambridge for the Cambridge approach or for land takings in Cambridge.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</si>
</sst>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_l_e_i"/>
    <numFmt numFmtId="165" formatCode="#,##0\ _l_e_i"/>
  </numFmts>
  <fonts count="3" x14ac:knownFonts="1">
    <font>
      <sz val="11"/>
      <color theme="1"/>
      <name val="Calibri"/>
      <family val="2"/>
      <charset val="238"/>
      <scheme val="minor"/>
    </font>
    <font>
      <u/>
      <sz val="11"/>
      <color theme="10"/>
      <name val="Calibri"/>
      <family val="2"/>
      <charset val="238"/>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8">
    <xf numFmtId="0" fontId="0" fillId="0" borderId="0" xfId="0"/>
    <xf numFmtId="0" fontId="0" fillId="0" borderId="0" xfId="0" applyBorder="1"/>
    <xf numFmtId="0" fontId="1" fillId="0" borderId="0" xfId="1"/>
    <xf numFmtId="0" fontId="0" fillId="0" borderId="0" xfId="0" applyNumberFormat="1"/>
    <xf numFmtId="165" fontId="0" fillId="0" borderId="0" xfId="0" applyNumberFormat="1"/>
    <xf numFmtId="0" fontId="2" fillId="0" borderId="0" xfId="0" applyFont="1"/>
    <xf numFmtId="165" fontId="2" fillId="0" borderId="0" xfId="0" applyNumberFormat="1" applyFont="1" applyAlignment="1">
      <alignment horizontal="center"/>
    </xf>
    <xf numFmtId="164" fontId="2" fillId="0" borderId="0" xfId="0" applyNumberFormat="1"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easuringworth.com/uscompare/" TargetMode="External"/><Relationship Id="rId1" Type="http://schemas.openxmlformats.org/officeDocument/2006/relationships/hyperlink" Target="http://futureboy.us/fsp/dollar.fsp?quantity=1&amp;currency=dollars&amp;fromYear=19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tabSelected="1" workbookViewId="0">
      <selection activeCell="D9" sqref="D9"/>
    </sheetView>
  </sheetViews>
  <sheetFormatPr defaultRowHeight="15" x14ac:dyDescent="0.25"/>
  <cols>
    <col min="1" max="1" width="22.28515625" bestFit="1" customWidth="1"/>
    <col min="2" max="2" width="33.85546875" bestFit="1" customWidth="1"/>
    <col min="3" max="3" width="15.5703125" style="4" bestFit="1" customWidth="1"/>
    <col min="4" max="4" width="15.5703125" style="4" customWidth="1"/>
    <col min="5" max="5" width="15.5703125" style="4" bestFit="1" customWidth="1"/>
    <col min="6" max="6" width="15.5703125" style="4" customWidth="1"/>
    <col min="7" max="7" width="15.5703125" style="4" bestFit="1" customWidth="1"/>
    <col min="8" max="8" width="15.5703125" style="4" customWidth="1"/>
  </cols>
  <sheetData>
    <row r="1" spans="1:15" x14ac:dyDescent="0.25">
      <c r="A1" s="5" t="s">
        <v>10</v>
      </c>
      <c r="B1" s="5" t="s">
        <v>11</v>
      </c>
      <c r="C1" s="6" t="s">
        <v>12</v>
      </c>
      <c r="D1" s="6"/>
      <c r="E1" s="7" t="s">
        <v>18</v>
      </c>
      <c r="F1" s="7"/>
      <c r="G1" s="7"/>
      <c r="H1" s="7"/>
    </row>
    <row r="2" spans="1:15" x14ac:dyDescent="0.25">
      <c r="A2" t="s">
        <v>0</v>
      </c>
      <c r="L2" s="1" t="s">
        <v>13</v>
      </c>
      <c r="M2" s="1"/>
      <c r="N2" s="1"/>
    </row>
    <row r="3" spans="1:15" x14ac:dyDescent="0.25">
      <c r="B3" t="s">
        <v>1</v>
      </c>
      <c r="C3" s="4">
        <f>ROUND(674139.52,0)</f>
        <v>674140</v>
      </c>
      <c r="E3" s="4">
        <f>C3 * $J$3</f>
        <v>17581571.199999999</v>
      </c>
      <c r="G3" s="4">
        <f>C3 * $J$4</f>
        <v>17729882</v>
      </c>
      <c r="J3" s="3">
        <f>26.08</f>
        <v>26.08</v>
      </c>
      <c r="L3" s="1" t="s">
        <v>14</v>
      </c>
      <c r="M3" s="1"/>
      <c r="N3" s="1"/>
      <c r="O3" s="2" t="s">
        <v>15</v>
      </c>
    </row>
    <row r="4" spans="1:15" x14ac:dyDescent="0.25">
      <c r="B4" t="s">
        <v>2</v>
      </c>
      <c r="C4" s="4">
        <f>ROUND(215278.45,0)</f>
        <v>215278</v>
      </c>
      <c r="E4" s="4">
        <f t="shared" ref="E4:F20" si="0">C4 * $J$3</f>
        <v>5614450.2399999993</v>
      </c>
      <c r="G4" s="4">
        <f t="shared" ref="G4:H19" si="1">C4 * $J$4</f>
        <v>5661811.4000000004</v>
      </c>
      <c r="J4" s="3">
        <f>26.3</f>
        <v>26.3</v>
      </c>
      <c r="L4" s="1" t="s">
        <v>17</v>
      </c>
      <c r="M4" s="1"/>
      <c r="N4" s="1"/>
      <c r="O4" s="2" t="s">
        <v>16</v>
      </c>
    </row>
    <row r="5" spans="1:15" x14ac:dyDescent="0.25">
      <c r="D5" s="4">
        <f>ROUND(SUM(C3:C4),0)</f>
        <v>889418</v>
      </c>
      <c r="F5" s="4">
        <f t="shared" si="0"/>
        <v>23196021.439999998</v>
      </c>
      <c r="H5" s="4">
        <f t="shared" si="1"/>
        <v>23391693.400000002</v>
      </c>
      <c r="J5" s="3"/>
      <c r="L5" s="1"/>
      <c r="M5" s="1"/>
      <c r="N5" s="1"/>
      <c r="O5" s="2"/>
    </row>
    <row r="6" spans="1:15" x14ac:dyDescent="0.25">
      <c r="A6" t="s">
        <v>3</v>
      </c>
      <c r="L6" s="1"/>
      <c r="M6" s="1"/>
      <c r="N6" s="1"/>
    </row>
    <row r="7" spans="1:15" x14ac:dyDescent="0.25">
      <c r="B7" t="s">
        <v>1</v>
      </c>
      <c r="C7" s="4">
        <f>ROUND(97554.34,0)</f>
        <v>97554</v>
      </c>
      <c r="E7" s="4">
        <f t="shared" si="0"/>
        <v>2544208.3199999998</v>
      </c>
      <c r="G7" s="4">
        <f t="shared" si="1"/>
        <v>2565670.2000000002</v>
      </c>
    </row>
    <row r="8" spans="1:15" x14ac:dyDescent="0.25">
      <c r="B8" t="s">
        <v>2</v>
      </c>
      <c r="C8" s="4">
        <f>ROUND(34040.35,0)</f>
        <v>34040</v>
      </c>
      <c r="E8" s="4">
        <f t="shared" si="0"/>
        <v>887763.2</v>
      </c>
      <c r="G8" s="4">
        <f t="shared" si="1"/>
        <v>895252</v>
      </c>
    </row>
    <row r="9" spans="1:15" x14ac:dyDescent="0.25">
      <c r="B9" t="s">
        <v>4</v>
      </c>
      <c r="C9" s="4">
        <f>ROUND(27490.3,0)</f>
        <v>27490</v>
      </c>
      <c r="E9" s="4">
        <f t="shared" si="0"/>
        <v>716939.2</v>
      </c>
      <c r="G9" s="4">
        <f t="shared" si="1"/>
        <v>722987</v>
      </c>
    </row>
    <row r="10" spans="1:15" x14ac:dyDescent="0.25">
      <c r="B10" t="s">
        <v>5</v>
      </c>
      <c r="C10" s="4">
        <f>ROUND(5004.9,0)</f>
        <v>5005</v>
      </c>
      <c r="E10" s="4">
        <f t="shared" si="0"/>
        <v>130530.4</v>
      </c>
      <c r="G10" s="4">
        <f t="shared" si="1"/>
        <v>131631.5</v>
      </c>
    </row>
    <row r="11" spans="1:15" x14ac:dyDescent="0.25">
      <c r="B11" t="s">
        <v>6</v>
      </c>
      <c r="C11" s="4">
        <f>ROUND(467.63,0)</f>
        <v>468</v>
      </c>
      <c r="E11" s="4">
        <f t="shared" si="0"/>
        <v>12205.439999999999</v>
      </c>
      <c r="G11" s="4">
        <f t="shared" si="1"/>
        <v>12308.4</v>
      </c>
    </row>
    <row r="12" spans="1:15" x14ac:dyDescent="0.25">
      <c r="D12" s="4">
        <f>ROUND(SUM(C7:C11),0)</f>
        <v>164557</v>
      </c>
      <c r="F12" s="4">
        <f t="shared" si="0"/>
        <v>4291646.5599999996</v>
      </c>
      <c r="H12" s="4">
        <f t="shared" si="1"/>
        <v>4327849.1000000006</v>
      </c>
    </row>
    <row r="13" spans="1:15" x14ac:dyDescent="0.25">
      <c r="A13" t="s">
        <v>7</v>
      </c>
    </row>
    <row r="14" spans="1:15" x14ac:dyDescent="0.25">
      <c r="B14" t="s">
        <v>1</v>
      </c>
      <c r="C14" s="4">
        <f>ROUND(107487.08,0)</f>
        <v>107487</v>
      </c>
      <c r="E14" s="4">
        <f t="shared" si="0"/>
        <v>2803260.96</v>
      </c>
      <c r="G14" s="4">
        <f t="shared" si="1"/>
        <v>2826908.1</v>
      </c>
    </row>
    <row r="15" spans="1:15" x14ac:dyDescent="0.25">
      <c r="B15" t="s">
        <v>2</v>
      </c>
      <c r="C15" s="4">
        <f>ROUND(35603.78,0)</f>
        <v>35604</v>
      </c>
      <c r="E15" s="4">
        <f t="shared" si="0"/>
        <v>928552.32</v>
      </c>
      <c r="G15" s="4">
        <f t="shared" si="1"/>
        <v>936385.20000000007</v>
      </c>
    </row>
    <row r="16" spans="1:15" x14ac:dyDescent="0.25">
      <c r="B16" t="s">
        <v>4</v>
      </c>
      <c r="C16" s="4">
        <f>ROUND(8881.74,0)</f>
        <v>8882</v>
      </c>
      <c r="E16" s="4">
        <f t="shared" si="0"/>
        <v>231642.56</v>
      </c>
      <c r="G16" s="4">
        <f t="shared" si="1"/>
        <v>233596.6</v>
      </c>
    </row>
    <row r="17" spans="1:8" x14ac:dyDescent="0.25">
      <c r="B17" t="s">
        <v>8</v>
      </c>
      <c r="C17" s="4">
        <f>ROUND(14045.46,0)</f>
        <v>14045</v>
      </c>
      <c r="E17" s="4">
        <f t="shared" si="0"/>
        <v>366293.6</v>
      </c>
      <c r="G17" s="4">
        <f t="shared" si="1"/>
        <v>369383.5</v>
      </c>
    </row>
    <row r="18" spans="1:8" x14ac:dyDescent="0.25">
      <c r="B18" t="s">
        <v>6</v>
      </c>
      <c r="C18" s="4">
        <f>ROUND(665.92,0)</f>
        <v>666</v>
      </c>
      <c r="E18" s="4">
        <f t="shared" si="0"/>
        <v>17369.28</v>
      </c>
      <c r="G18" s="4">
        <f t="shared" si="1"/>
        <v>17515.8</v>
      </c>
    </row>
    <row r="19" spans="1:8" x14ac:dyDescent="0.25">
      <c r="B19" t="s">
        <v>9</v>
      </c>
      <c r="C19" s="4">
        <f>ROUND(1585.49,0)</f>
        <v>1585</v>
      </c>
      <c r="E19" s="4">
        <f t="shared" si="0"/>
        <v>41336.799999999996</v>
      </c>
      <c r="G19" s="4">
        <f t="shared" si="1"/>
        <v>41685.5</v>
      </c>
    </row>
    <row r="20" spans="1:8" x14ac:dyDescent="0.25">
      <c r="D20" s="4">
        <f>ROUND(SUM(C14:C19),0)</f>
        <v>168269</v>
      </c>
      <c r="F20" s="4">
        <f t="shared" si="0"/>
        <v>4388455.5199999996</v>
      </c>
      <c r="H20" s="4">
        <f t="shared" ref="H20" si="2">D20 * $J$4</f>
        <v>4425474.7</v>
      </c>
    </row>
    <row r="22" spans="1:8" x14ac:dyDescent="0.25">
      <c r="A22" t="s">
        <v>19</v>
      </c>
    </row>
    <row r="23" spans="1:8" x14ac:dyDescent="0.25">
      <c r="B23" t="s">
        <v>20</v>
      </c>
      <c r="C23" s="4">
        <f>ROUND(611651.09,0)</f>
        <v>611651</v>
      </c>
      <c r="E23" s="4">
        <f t="shared" ref="E23:E25" si="3">C23 * $J$3</f>
        <v>15951858.079999998</v>
      </c>
      <c r="G23" s="4">
        <f t="shared" ref="G23:G25" si="4">C23 * $J$4</f>
        <v>16086421.300000001</v>
      </c>
    </row>
    <row r="24" spans="1:8" x14ac:dyDescent="0.25">
      <c r="B24" t="s">
        <v>21</v>
      </c>
      <c r="C24" s="4">
        <f>ROUND(14363.33,0)</f>
        <v>14363</v>
      </c>
      <c r="E24" s="4">
        <f t="shared" si="3"/>
        <v>374587.04</v>
      </c>
      <c r="G24" s="4">
        <f t="shared" si="4"/>
        <v>377746.9</v>
      </c>
    </row>
    <row r="25" spans="1:8" x14ac:dyDescent="0.25">
      <c r="B25" t="s">
        <v>22</v>
      </c>
      <c r="C25" s="4">
        <f>ROUND(2987.05,0)</f>
        <v>2987</v>
      </c>
      <c r="E25" s="4">
        <f t="shared" si="3"/>
        <v>77900.959999999992</v>
      </c>
      <c r="G25" s="4">
        <f t="shared" si="4"/>
        <v>78558.100000000006</v>
      </c>
    </row>
    <row r="26" spans="1:8" x14ac:dyDescent="0.25">
      <c r="D26" s="4">
        <f>ROUND(SUM(C23:C25),0)</f>
        <v>629001</v>
      </c>
      <c r="F26" s="4">
        <f t="shared" ref="F26" si="5">D26 * $J$3</f>
        <v>16404346.079999998</v>
      </c>
      <c r="H26" s="4">
        <f t="shared" ref="H26" si="6">D26 * $J$4</f>
        <v>16542726.300000001</v>
      </c>
    </row>
    <row r="27" spans="1:8" x14ac:dyDescent="0.25">
      <c r="A27" t="s">
        <v>23</v>
      </c>
    </row>
    <row r="28" spans="1:8" x14ac:dyDescent="0.25">
      <c r="B28" t="s">
        <v>24</v>
      </c>
      <c r="C28" s="4">
        <f>ROUND(88827.12,0)</f>
        <v>88827</v>
      </c>
      <c r="E28" s="4">
        <f t="shared" ref="E28:E31" si="7">C28 * $J$3</f>
        <v>2316608.1599999997</v>
      </c>
      <c r="G28" s="4">
        <f t="shared" ref="G28:G31" si="8">C28 * $J$4</f>
        <v>2336150.1</v>
      </c>
    </row>
    <row r="29" spans="1:8" x14ac:dyDescent="0.25">
      <c r="B29" t="s">
        <v>25</v>
      </c>
      <c r="C29" s="4">
        <f>ROUND(18800.58,0)</f>
        <v>18801</v>
      </c>
      <c r="E29" s="4">
        <f t="shared" si="7"/>
        <v>490330.07999999996</v>
      </c>
      <c r="G29" s="4">
        <f t="shared" si="8"/>
        <v>494466.3</v>
      </c>
    </row>
    <row r="30" spans="1:8" x14ac:dyDescent="0.25">
      <c r="B30" t="s">
        <v>26</v>
      </c>
      <c r="C30" s="4">
        <f>ROUND(66562.68,0)</f>
        <v>66563</v>
      </c>
      <c r="E30" s="4">
        <f t="shared" si="7"/>
        <v>1735963.0399999998</v>
      </c>
      <c r="G30" s="4">
        <f t="shared" si="8"/>
        <v>1750606.9000000001</v>
      </c>
    </row>
    <row r="31" spans="1:8" x14ac:dyDescent="0.25">
      <c r="B31" t="s">
        <v>27</v>
      </c>
      <c r="C31" s="4">
        <f>ROUND(26840.91,0)</f>
        <v>26841</v>
      </c>
      <c r="E31" s="4">
        <f t="shared" si="7"/>
        <v>700013.27999999991</v>
      </c>
      <c r="G31" s="4">
        <f t="shared" si="8"/>
        <v>705918.3</v>
      </c>
    </row>
    <row r="32" spans="1:8" x14ac:dyDescent="0.25">
      <c r="D32" s="4">
        <f>ROUND(SUM(C28:C31),0)</f>
        <v>201032</v>
      </c>
      <c r="F32" s="4">
        <f t="shared" ref="F32" si="9">D32 * $J$3</f>
        <v>5242914.5599999996</v>
      </c>
      <c r="H32" s="4">
        <f t="shared" ref="H32" si="10">D32 * $J$4</f>
        <v>5287141.6000000006</v>
      </c>
    </row>
    <row r="33" spans="1:8" x14ac:dyDescent="0.25">
      <c r="A33" t="s">
        <v>28</v>
      </c>
    </row>
    <row r="34" spans="1:8" x14ac:dyDescent="0.25">
      <c r="B34" t="s">
        <v>29</v>
      </c>
      <c r="C34" s="4">
        <f>ROUND(38701.05,0)</f>
        <v>38701</v>
      </c>
      <c r="E34" s="4">
        <f t="shared" ref="E34:E36" si="11">C34 * $J$3</f>
        <v>1009322.08</v>
      </c>
      <c r="G34" s="4">
        <f t="shared" ref="G34:G36" si="12">C34 * $J$4</f>
        <v>1017836.3</v>
      </c>
    </row>
    <row r="35" spans="1:8" x14ac:dyDescent="0.25">
      <c r="B35" t="s">
        <v>30</v>
      </c>
      <c r="C35" s="4">
        <f>ROUND(27990.86,0)</f>
        <v>27991</v>
      </c>
      <c r="E35" s="4">
        <f t="shared" si="11"/>
        <v>730005.27999999991</v>
      </c>
      <c r="G35" s="4">
        <f t="shared" si="12"/>
        <v>736163.3</v>
      </c>
    </row>
    <row r="36" spans="1:8" x14ac:dyDescent="0.25">
      <c r="B36" t="s">
        <v>31</v>
      </c>
      <c r="C36" s="4">
        <f>ROUND(120584.2,0)</f>
        <v>120584</v>
      </c>
      <c r="E36" s="4">
        <f t="shared" si="11"/>
        <v>3144830.7199999997</v>
      </c>
      <c r="G36" s="4">
        <f t="shared" si="12"/>
        <v>3171359.2</v>
      </c>
    </row>
    <row r="37" spans="1:8" x14ac:dyDescent="0.25">
      <c r="D37" s="4">
        <f>ROUND(SUM(C34:C36),0)</f>
        <v>187276</v>
      </c>
      <c r="F37" s="4">
        <f t="shared" ref="F37" si="13">D37 * $J$3</f>
        <v>4884158.08</v>
      </c>
      <c r="H37" s="4">
        <f t="shared" ref="H37" si="14">D37 * $J$4</f>
        <v>4925358.8</v>
      </c>
    </row>
    <row r="38" spans="1:8" x14ac:dyDescent="0.25">
      <c r="A38" t="s">
        <v>32</v>
      </c>
    </row>
    <row r="39" spans="1:8" x14ac:dyDescent="0.25">
      <c r="B39" t="s">
        <v>33</v>
      </c>
      <c r="C39" s="4">
        <f>ROUND(1200,0)</f>
        <v>1200</v>
      </c>
      <c r="E39" s="4">
        <f t="shared" ref="E39:E44" si="15">C39 * $J$3</f>
        <v>31295.999999999996</v>
      </c>
      <c r="G39" s="4">
        <f t="shared" ref="G39:G44" si="16">C39 * $J$4</f>
        <v>31560</v>
      </c>
    </row>
    <row r="40" spans="1:8" x14ac:dyDescent="0.25">
      <c r="B40" t="s">
        <v>34</v>
      </c>
      <c r="C40" s="4">
        <f>ROUND(673.08,0)</f>
        <v>673</v>
      </c>
      <c r="E40" s="4">
        <f t="shared" si="15"/>
        <v>17551.84</v>
      </c>
      <c r="G40" s="4">
        <f t="shared" si="16"/>
        <v>17699.900000000001</v>
      </c>
    </row>
    <row r="41" spans="1:8" x14ac:dyDescent="0.25">
      <c r="B41" t="s">
        <v>35</v>
      </c>
      <c r="C41" s="4">
        <f>ROUND(3666.04,0)</f>
        <v>3666</v>
      </c>
      <c r="E41" s="4">
        <f t="shared" si="15"/>
        <v>95609.279999999999</v>
      </c>
      <c r="G41" s="4">
        <f t="shared" si="16"/>
        <v>96415.8</v>
      </c>
    </row>
    <row r="42" spans="1:8" x14ac:dyDescent="0.25">
      <c r="B42" t="s">
        <v>36</v>
      </c>
      <c r="C42" s="4">
        <f>ROUND(2020,0)</f>
        <v>2020</v>
      </c>
      <c r="E42" s="4">
        <f t="shared" si="15"/>
        <v>52681.599999999999</v>
      </c>
      <c r="G42" s="4">
        <f t="shared" si="16"/>
        <v>53126</v>
      </c>
    </row>
    <row r="43" spans="1:8" x14ac:dyDescent="0.25">
      <c r="B43" t="s">
        <v>37</v>
      </c>
      <c r="C43" s="4">
        <f>ROUND(134294.11,0)</f>
        <v>134294</v>
      </c>
      <c r="E43" s="4">
        <f t="shared" si="15"/>
        <v>3502387.5199999996</v>
      </c>
      <c r="G43" s="4">
        <f t="shared" si="16"/>
        <v>3531932.2</v>
      </c>
    </row>
    <row r="44" spans="1:8" x14ac:dyDescent="0.25">
      <c r="B44" t="s">
        <v>38</v>
      </c>
      <c r="C44" s="4">
        <f>ROUND(6129.6,0)</f>
        <v>6130</v>
      </c>
      <c r="E44" s="4">
        <f t="shared" si="15"/>
        <v>159870.39999999999</v>
      </c>
      <c r="G44" s="4">
        <f t="shared" si="16"/>
        <v>161219</v>
      </c>
    </row>
    <row r="45" spans="1:8" x14ac:dyDescent="0.25">
      <c r="D45" s="4">
        <f>ROUND(SUM(C39:C44),0)</f>
        <v>147983</v>
      </c>
      <c r="F45" s="4">
        <f t="shared" ref="F45:F54" si="17">D45 * $J$3</f>
        <v>3859396.6399999997</v>
      </c>
      <c r="H45" s="4">
        <f t="shared" ref="H45:H54" si="18">D45 * $J$4</f>
        <v>3891952.9</v>
      </c>
    </row>
    <row r="46" spans="1:8" x14ac:dyDescent="0.25">
      <c r="A46" t="s">
        <v>39</v>
      </c>
      <c r="D46" s="4">
        <f>ROUND(33486.65,0)</f>
        <v>33487</v>
      </c>
      <c r="F46" s="4">
        <f t="shared" si="17"/>
        <v>873340.96</v>
      </c>
      <c r="H46" s="4">
        <f t="shared" si="18"/>
        <v>880708.1</v>
      </c>
    </row>
    <row r="47" spans="1:8" x14ac:dyDescent="0.25">
      <c r="A47" t="s">
        <v>40</v>
      </c>
      <c r="D47" s="4">
        <f>ROUND(40914.89,0)</f>
        <v>40915</v>
      </c>
      <c r="F47" s="4">
        <f t="shared" si="17"/>
        <v>1067063.2</v>
      </c>
      <c r="H47" s="4">
        <f t="shared" si="18"/>
        <v>1076064.5</v>
      </c>
    </row>
    <row r="48" spans="1:8" x14ac:dyDescent="0.25">
      <c r="A48" t="s">
        <v>41</v>
      </c>
      <c r="D48" s="4">
        <f>ROUND(717.17,0)</f>
        <v>717</v>
      </c>
      <c r="F48" s="4">
        <f t="shared" si="17"/>
        <v>18699.36</v>
      </c>
      <c r="H48" s="4">
        <f t="shared" si="18"/>
        <v>18857.100000000002</v>
      </c>
    </row>
    <row r="49" spans="1:8" x14ac:dyDescent="0.25">
      <c r="A49" t="s">
        <v>42</v>
      </c>
      <c r="D49" s="4">
        <f>ROUND(957.63,0)</f>
        <v>958</v>
      </c>
      <c r="F49" s="4">
        <f t="shared" si="17"/>
        <v>24984.639999999999</v>
      </c>
      <c r="H49" s="4">
        <f t="shared" si="18"/>
        <v>25195.4</v>
      </c>
    </row>
    <row r="50" spans="1:8" x14ac:dyDescent="0.25">
      <c r="A50" t="s">
        <v>43</v>
      </c>
      <c r="D50" s="4">
        <f>ROUND(33715.59,0)</f>
        <v>33716</v>
      </c>
      <c r="F50" s="4">
        <f t="shared" si="17"/>
        <v>879313.27999999991</v>
      </c>
      <c r="H50" s="4">
        <f t="shared" si="18"/>
        <v>886730.8</v>
      </c>
    </row>
    <row r="51" spans="1:8" x14ac:dyDescent="0.25">
      <c r="A51" s="5" t="s">
        <v>44</v>
      </c>
      <c r="D51" s="4">
        <f>ROUND(SUM(D2:D50),0)</f>
        <v>2497329</v>
      </c>
      <c r="F51" s="4">
        <f t="shared" si="17"/>
        <v>65130340.319999993</v>
      </c>
      <c r="H51" s="4">
        <f t="shared" si="18"/>
        <v>65679752.700000003</v>
      </c>
    </row>
    <row r="53" spans="1:8" x14ac:dyDescent="0.25">
      <c r="A53" t="s">
        <v>45</v>
      </c>
      <c r="D53" s="4">
        <f>ROUND(10296.7,0)</f>
        <v>10297</v>
      </c>
      <c r="F53" s="4">
        <f t="shared" si="17"/>
        <v>268545.76</v>
      </c>
      <c r="H53" s="4">
        <f t="shared" si="18"/>
        <v>270811.10000000003</v>
      </c>
    </row>
    <row r="54" spans="1:8" x14ac:dyDescent="0.25">
      <c r="A54" s="5" t="s">
        <v>46</v>
      </c>
      <c r="D54" s="4">
        <f>ROUND(SUM(D51:D53),0)</f>
        <v>2507626</v>
      </c>
      <c r="F54" s="4">
        <f t="shared" si="17"/>
        <v>65398886.079999998</v>
      </c>
      <c r="H54" s="4">
        <f t="shared" si="18"/>
        <v>65950563.800000004</v>
      </c>
    </row>
    <row r="56" spans="1:8" x14ac:dyDescent="0.25">
      <c r="A56" t="s">
        <v>47</v>
      </c>
    </row>
    <row r="57" spans="1:8" x14ac:dyDescent="0.25">
      <c r="B57" t="s">
        <v>48</v>
      </c>
      <c r="C57" s="4">
        <f>ROUND(72509.5,0)</f>
        <v>72510</v>
      </c>
      <c r="E57" s="4">
        <f t="shared" ref="E57:E59" si="19">C57 * $J$3</f>
        <v>1891060.7999999998</v>
      </c>
      <c r="G57" s="4">
        <f t="shared" ref="G57:G59" si="20">C57 * $J$4</f>
        <v>1907013</v>
      </c>
    </row>
    <row r="58" spans="1:8" x14ac:dyDescent="0.25">
      <c r="B58" t="s">
        <v>49</v>
      </c>
      <c r="C58" s="4">
        <f>ROUND(39821.12,0)</f>
        <v>39821</v>
      </c>
      <c r="E58" s="4">
        <f t="shared" si="19"/>
        <v>1038531.6799999999</v>
      </c>
      <c r="G58" s="4">
        <f t="shared" si="20"/>
        <v>1047292.3</v>
      </c>
    </row>
    <row r="59" spans="1:8" x14ac:dyDescent="0.25">
      <c r="B59" t="s">
        <v>50</v>
      </c>
      <c r="C59" s="4">
        <f>ROUND(1284.68,0)</f>
        <v>1285</v>
      </c>
      <c r="E59" s="4">
        <f t="shared" si="19"/>
        <v>33512.799999999996</v>
      </c>
      <c r="G59" s="4">
        <f t="shared" si="20"/>
        <v>33795.5</v>
      </c>
    </row>
    <row r="60" spans="1:8" x14ac:dyDescent="0.25">
      <c r="D60" s="4">
        <f>ROUND(SUM(C57:C59),0)</f>
        <v>113616</v>
      </c>
      <c r="F60" s="4">
        <f t="shared" ref="F60" si="21">D60 * $J$3</f>
        <v>2963105.28</v>
      </c>
      <c r="H60" s="4">
        <f t="shared" ref="H60" si="22">D60 * $J$4</f>
        <v>2988100.8000000003</v>
      </c>
    </row>
    <row r="61" spans="1:8" x14ac:dyDescent="0.25">
      <c r="A61" t="s">
        <v>51</v>
      </c>
    </row>
    <row r="62" spans="1:8" x14ac:dyDescent="0.25">
      <c r="B62" t="s">
        <v>52</v>
      </c>
      <c r="C62" s="4">
        <f>ROUND(4200,0)</f>
        <v>4200</v>
      </c>
      <c r="E62" s="4">
        <f t="shared" ref="E62:E63" si="23">C62 * $J$3</f>
        <v>109536</v>
      </c>
      <c r="G62" s="4">
        <f t="shared" ref="G62:G63" si="24">C62 * $J$4</f>
        <v>110460</v>
      </c>
    </row>
    <row r="63" spans="1:8" x14ac:dyDescent="0.25">
      <c r="B63" t="s">
        <v>53</v>
      </c>
      <c r="C63" s="4">
        <f>ROUND(26483.5,0)</f>
        <v>26484</v>
      </c>
      <c r="E63" s="4">
        <f t="shared" si="23"/>
        <v>690702.72</v>
      </c>
      <c r="G63" s="4">
        <f t="shared" si="24"/>
        <v>696529.20000000007</v>
      </c>
    </row>
    <row r="64" spans="1:8" x14ac:dyDescent="0.25">
      <c r="D64" s="4">
        <f>ROUND(SUM(C62:C63),0)</f>
        <v>30684</v>
      </c>
      <c r="F64" s="4">
        <f t="shared" ref="F64" si="25">D64 * $J$3</f>
        <v>800238.72</v>
      </c>
      <c r="H64" s="4">
        <f t="shared" ref="H64" si="26">D64 * $J$4</f>
        <v>806989.20000000007</v>
      </c>
    </row>
    <row r="65" spans="1:8" x14ac:dyDescent="0.25">
      <c r="A65" t="s">
        <v>54</v>
      </c>
    </row>
    <row r="66" spans="1:8" x14ac:dyDescent="0.25">
      <c r="B66" t="s">
        <v>55</v>
      </c>
      <c r="C66" s="4">
        <f>ROUND(1547.06,0)</f>
        <v>1547</v>
      </c>
      <c r="E66" s="4">
        <f t="shared" ref="E66:E67" si="27">C66 * $J$3</f>
        <v>40345.759999999995</v>
      </c>
      <c r="G66" s="4">
        <f t="shared" ref="G66:G67" si="28">C66 * $J$4</f>
        <v>40686.1</v>
      </c>
    </row>
    <row r="67" spans="1:8" x14ac:dyDescent="0.25">
      <c r="B67" t="s">
        <v>56</v>
      </c>
      <c r="C67" s="4">
        <f>ROUND(1434.51,0)</f>
        <v>1435</v>
      </c>
      <c r="E67" s="4">
        <f t="shared" si="27"/>
        <v>37424.799999999996</v>
      </c>
      <c r="G67" s="4">
        <f t="shared" si="28"/>
        <v>37740.5</v>
      </c>
    </row>
    <row r="68" spans="1:8" x14ac:dyDescent="0.25">
      <c r="D68" s="4">
        <f>ROUND(SUM(C66:C67),0)</f>
        <v>2982</v>
      </c>
      <c r="F68" s="4">
        <f t="shared" ref="F68:F69" si="29">D68 * $J$3</f>
        <v>77770.559999999998</v>
      </c>
    </row>
    <row r="69" spans="1:8" x14ac:dyDescent="0.25">
      <c r="A69" s="5" t="s">
        <v>57</v>
      </c>
      <c r="D69" s="4">
        <f>ROUND(SUM(D54:D68),0)</f>
        <v>2654908</v>
      </c>
      <c r="F69" s="4">
        <f t="shared" si="29"/>
        <v>69240000.640000001</v>
      </c>
      <c r="H69" s="4">
        <f t="shared" ref="H69" si="30">D69 * $J$4</f>
        <v>69824080.400000006</v>
      </c>
    </row>
    <row r="71" spans="1:8" x14ac:dyDescent="0.25">
      <c r="A71" t="s">
        <v>58</v>
      </c>
    </row>
  </sheetData>
  <mergeCells count="2">
    <mergeCell ref="E1:H1"/>
    <mergeCell ref="C1:D1"/>
  </mergeCells>
  <hyperlinks>
    <hyperlink ref="O3" r:id="rId1"/>
    <hyperlink ref="O4"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Philip Greenspun</cp:lastModifiedBy>
  <dcterms:created xsi:type="dcterms:W3CDTF">2013-08-13T09:35:05Z</dcterms:created>
  <dcterms:modified xsi:type="dcterms:W3CDTF">2013-08-16T17:36:50Z</dcterms:modified>
</cp:coreProperties>
</file>